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" yWindow="65224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<sst xmlns="http://schemas.openxmlformats.org/spreadsheetml/2006/main" count="1248" uniqueCount="77">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</sst>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20" sqref="AE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13431.5</f>
        <v>13431.5</v>
      </c>
      <c r="AF7" s="72"/>
      <c r="AG7" s="48"/>
    </row>
    <row r="8" spans="1:55" ht="18" customHeight="1">
      <c r="A8" s="60" t="s">
        <v>30</v>
      </c>
      <c r="B8" s="40">
        <f>SUM(D8:AB8)</f>
        <v>118871.60000000002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>
        <v>1743.4</v>
      </c>
      <c r="O8" s="55">
        <v>9230.1</v>
      </c>
      <c r="P8" s="55">
        <v>4016.1</v>
      </c>
      <c r="Q8" s="55">
        <v>4810.6</v>
      </c>
      <c r="R8" s="55">
        <v>7558.3</v>
      </c>
      <c r="S8" s="57">
        <v>4461.8</v>
      </c>
      <c r="T8" s="57">
        <v>13007.3</v>
      </c>
      <c r="U8" s="55">
        <v>10956.5</v>
      </c>
      <c r="V8" s="55">
        <v>11490.7</v>
      </c>
      <c r="W8" s="55"/>
      <c r="X8" s="56"/>
      <c r="Y8" s="56"/>
      <c r="Z8" s="56"/>
      <c r="AA8" s="56"/>
      <c r="AB8" s="55"/>
      <c r="AC8" s="23"/>
      <c r="AD8" s="23"/>
      <c r="AE8" s="83">
        <v>29468.8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211253.31</v>
      </c>
      <c r="C9" s="24">
        <f t="shared" si="0"/>
        <v>87709.74909999999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12717.400000000001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6744.299999999999</v>
      </c>
      <c r="O9" s="24">
        <f t="shared" si="0"/>
        <v>3546.2</v>
      </c>
      <c r="P9" s="24">
        <f t="shared" si="0"/>
        <v>4486.9</v>
      </c>
      <c r="Q9" s="24">
        <f t="shared" si="0"/>
        <v>5670.500000000001</v>
      </c>
      <c r="R9" s="24">
        <f t="shared" si="0"/>
        <v>25036.199999999997</v>
      </c>
      <c r="S9" s="24">
        <f t="shared" si="0"/>
        <v>17917.999999999996</v>
      </c>
      <c r="T9" s="24">
        <f t="shared" si="0"/>
        <v>90648.78</v>
      </c>
      <c r="U9" s="24">
        <f t="shared" si="0"/>
        <v>14883.1</v>
      </c>
      <c r="V9" s="24">
        <f t="shared" si="0"/>
        <v>-5.5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260191.25</v>
      </c>
      <c r="AG9" s="50">
        <f>AG10+AG15+AG24+AG33+AG47+AG52+AG54+AG61+AG62+AG71+AG72+AG76+AG88+AG81+AG83+AG82+AG69+AG89+AG91+AG90+AG70+AG40+AG92</f>
        <v>38771.80910000003</v>
      </c>
      <c r="AH9" s="49"/>
      <c r="AI9" s="49"/>
    </row>
    <row r="10" spans="1:33" s="87" customFormat="1" ht="15">
      <c r="A10" s="84" t="s">
        <v>4</v>
      </c>
      <c r="B10" s="85">
        <f>11054.3+283.1+122</f>
        <v>11459.4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>
        <v>98.2</v>
      </c>
      <c r="O10" s="85">
        <v>108.6</v>
      </c>
      <c r="P10" s="85">
        <v>100.7</v>
      </c>
      <c r="Q10" s="85">
        <v>446.1</v>
      </c>
      <c r="R10" s="85">
        <v>385.4</v>
      </c>
      <c r="S10" s="85">
        <v>1509.5</v>
      </c>
      <c r="T10" s="85">
        <v>8000.4</v>
      </c>
      <c r="U10" s="85">
        <v>498.2</v>
      </c>
      <c r="V10" s="85">
        <f>-18.8+4.5</f>
        <v>-14.3</v>
      </c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19238.9</v>
      </c>
      <c r="AG10" s="85">
        <f>B10+C10-AF10</f>
        <v>1843.5820999999924</v>
      </c>
    </row>
    <row r="11" spans="1:33" s="87" customFormat="1" ht="15">
      <c r="A11" s="88" t="s">
        <v>5</v>
      </c>
      <c r="B11" s="86">
        <f>10415.9-19.2+244</f>
        <v>10640.699999999999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>
        <v>2.1</v>
      </c>
      <c r="P11" s="85"/>
      <c r="Q11" s="85">
        <v>278.1</v>
      </c>
      <c r="R11" s="85">
        <v>14.7</v>
      </c>
      <c r="S11" s="85">
        <v>1304.5</v>
      </c>
      <c r="T11" s="85">
        <f>6418.8+1168.1</f>
        <v>7586.9</v>
      </c>
      <c r="U11" s="85">
        <v>349</v>
      </c>
      <c r="V11" s="85">
        <v>-17.1</v>
      </c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17061.6</v>
      </c>
      <c r="AG11" s="85">
        <f>B11+C11-AF11</f>
        <v>986.7999999999956</v>
      </c>
    </row>
    <row r="12" spans="1:33" s="87" customFormat="1" ht="15">
      <c r="A12" s="88" t="s">
        <v>2</v>
      </c>
      <c r="B12" s="86">
        <f>327.1-122</f>
        <v>205.10000000000002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>
        <v>1</v>
      </c>
      <c r="O12" s="85"/>
      <c r="P12" s="85"/>
      <c r="Q12" s="85"/>
      <c r="R12" s="85"/>
      <c r="S12" s="85">
        <v>44.4</v>
      </c>
      <c r="T12" s="85">
        <v>336.9</v>
      </c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421.59999999999997</v>
      </c>
      <c r="AG12" s="85">
        <f>B12+C12-AF12</f>
        <v>198.90000000000003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613.6000000000007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97.2</v>
      </c>
      <c r="O14" s="85">
        <f t="shared" si="2"/>
        <v>106.5</v>
      </c>
      <c r="P14" s="85">
        <f t="shared" si="2"/>
        <v>100.7</v>
      </c>
      <c r="Q14" s="85">
        <f t="shared" si="2"/>
        <v>168</v>
      </c>
      <c r="R14" s="85">
        <f t="shared" si="2"/>
        <v>370.7</v>
      </c>
      <c r="S14" s="85">
        <f t="shared" si="2"/>
        <v>160.6</v>
      </c>
      <c r="T14" s="85">
        <f t="shared" si="2"/>
        <v>76.60000000000002</v>
      </c>
      <c r="U14" s="85">
        <f t="shared" si="2"/>
        <v>149.2</v>
      </c>
      <c r="V14" s="85">
        <f t="shared" si="2"/>
        <v>2.8000000000000007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1755.7000000000003</v>
      </c>
      <c r="AG14" s="85">
        <f>AG10-AG11-AG12-AG13</f>
        <v>657.8820999999966</v>
      </c>
    </row>
    <row r="15" spans="1:33" s="87" customFormat="1" ht="15" customHeight="1">
      <c r="A15" s="84" t="s">
        <v>6</v>
      </c>
      <c r="B15" s="89">
        <f>57928.3+683.4+275</f>
        <v>58886.700000000004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>
        <f>1743.3+1172.4</f>
        <v>2915.7</v>
      </c>
      <c r="O15" s="85">
        <v>553.6</v>
      </c>
      <c r="P15" s="85">
        <f>943.3+510</f>
        <v>1453.3</v>
      </c>
      <c r="Q15" s="85">
        <f>1485.3+170</f>
        <v>1655.3</v>
      </c>
      <c r="R15" s="85">
        <f>4482+170</f>
        <v>4652</v>
      </c>
      <c r="S15" s="85">
        <v>3670</v>
      </c>
      <c r="T15" s="85">
        <f>18805.7+14284.2</f>
        <v>33089.9</v>
      </c>
      <c r="U15" s="85">
        <v>5147.6</v>
      </c>
      <c r="V15" s="85">
        <v>8.8</v>
      </c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77698.8</v>
      </c>
      <c r="AG15" s="85">
        <f>B15+C15-AF15</f>
        <v>15852.650000000009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>
        <v>1172.4</v>
      </c>
      <c r="O16" s="93"/>
      <c r="P16" s="93">
        <v>510</v>
      </c>
      <c r="Q16" s="93">
        <v>170</v>
      </c>
      <c r="R16" s="93">
        <v>170</v>
      </c>
      <c r="S16" s="93"/>
      <c r="T16" s="93">
        <v>14284.2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24271.1</v>
      </c>
      <c r="AG16" s="94">
        <f aca="true" t="shared" si="3" ref="AG16:AG31">B16+C16-AF16</f>
        <v>13402.599999999991</v>
      </c>
      <c r="AH16" s="95"/>
    </row>
    <row r="17" spans="1:35" s="87" customFormat="1" ht="15">
      <c r="A17" s="88" t="s">
        <v>5</v>
      </c>
      <c r="B17" s="89">
        <f>37703.3+263.9+306.9</f>
        <v>38274.100000000006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>
        <v>10.6</v>
      </c>
      <c r="O17" s="85"/>
      <c r="P17" s="85"/>
      <c r="Q17" s="85"/>
      <c r="R17" s="85"/>
      <c r="S17" s="85"/>
      <c r="T17" s="85">
        <f>13792.2+14284.2</f>
        <v>28076.4</v>
      </c>
      <c r="U17" s="85">
        <v>-420.6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44812.700000000004</v>
      </c>
      <c r="AG17" s="85">
        <f t="shared" si="3"/>
        <v>13481</v>
      </c>
      <c r="AH17" s="97"/>
      <c r="AI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>
        <v>2.5</v>
      </c>
      <c r="O18" s="85"/>
      <c r="P18" s="85">
        <v>2.2</v>
      </c>
      <c r="Q18" s="85"/>
      <c r="R18" s="85">
        <v>15.4</v>
      </c>
      <c r="S18" s="85">
        <v>3.8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25.1</v>
      </c>
      <c r="AG18" s="85">
        <f t="shared" si="3"/>
        <v>4.199999999999999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>
        <v>324.6</v>
      </c>
      <c r="O19" s="85">
        <v>109.5</v>
      </c>
      <c r="P19" s="85">
        <v>191</v>
      </c>
      <c r="Q19" s="85">
        <v>491.8</v>
      </c>
      <c r="R19" s="85">
        <v>560.5</v>
      </c>
      <c r="S19" s="85">
        <v>476.5</v>
      </c>
      <c r="T19" s="85">
        <v>1002.2</v>
      </c>
      <c r="U19" s="85">
        <v>28.7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5141.599999999999</v>
      </c>
      <c r="AG19" s="85">
        <f t="shared" si="3"/>
        <v>551.3000000000038</v>
      </c>
    </row>
    <row r="20" spans="1:33" s="87" customFormat="1" ht="15">
      <c r="A20" s="88" t="s">
        <v>2</v>
      </c>
      <c r="B20" s="85">
        <f>11348.7-981.1-17.2</f>
        <v>10350.4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>
        <v>1008.6</v>
      </c>
      <c r="O20" s="85">
        <v>329.9</v>
      </c>
      <c r="P20" s="85">
        <v>515.8</v>
      </c>
      <c r="Q20" s="85">
        <v>708.7</v>
      </c>
      <c r="R20" s="85">
        <v>2965</v>
      </c>
      <c r="S20" s="85">
        <v>1832.6</v>
      </c>
      <c r="T20" s="85">
        <v>2103</v>
      </c>
      <c r="U20" s="85">
        <v>4826.6</v>
      </c>
      <c r="V20" s="85">
        <v>8.8</v>
      </c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18451.600000000002</v>
      </c>
      <c r="AG20" s="85">
        <f t="shared" si="3"/>
        <v>586.7999999999993</v>
      </c>
    </row>
    <row r="21" spans="1:33" s="87" customFormat="1" ht="15">
      <c r="A21" s="88" t="s">
        <v>16</v>
      </c>
      <c r="B21" s="85">
        <f>617.3+386.7+61.8</f>
        <v>1065.8</v>
      </c>
      <c r="C21" s="85">
        <f>241-0.4</f>
        <v>240.6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>
        <v>270.9</v>
      </c>
      <c r="S21" s="85">
        <f>294.8+34.8</f>
        <v>329.6</v>
      </c>
      <c r="T21" s="85">
        <f>199.4+43.6</f>
        <v>243</v>
      </c>
      <c r="U21" s="85">
        <v>433.7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1286.4</v>
      </c>
      <c r="AG21" s="85">
        <f t="shared" si="3"/>
        <v>19.999999999999773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5682.099999999996</v>
      </c>
      <c r="C23" s="85">
        <f t="shared" si="4"/>
        <v>3508.6500000000055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>N15-N17-N18-N19-N20-N21-N22</f>
        <v>1569.4</v>
      </c>
      <c r="O23" s="85">
        <f t="shared" si="4"/>
        <v>114.20000000000005</v>
      </c>
      <c r="P23" s="85">
        <f t="shared" si="4"/>
        <v>744.3</v>
      </c>
      <c r="Q23" s="85">
        <f t="shared" si="4"/>
        <v>454.79999999999995</v>
      </c>
      <c r="R23" s="85">
        <f t="shared" si="4"/>
        <v>840.2000000000004</v>
      </c>
      <c r="S23" s="85">
        <f t="shared" si="4"/>
        <v>1027.5</v>
      </c>
      <c r="T23" s="85">
        <f t="shared" si="4"/>
        <v>1665.3000000000002</v>
      </c>
      <c r="U23" s="85">
        <f t="shared" si="4"/>
        <v>279.20000000000056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7981.400000000002</v>
      </c>
      <c r="AG23" s="85">
        <f t="shared" si="3"/>
        <v>1209.3499999999995</v>
      </c>
    </row>
    <row r="24" spans="1:36" s="87" customFormat="1" ht="15" customHeight="1">
      <c r="A24" s="84" t="s">
        <v>7</v>
      </c>
      <c r="B24" s="85">
        <f>30255.8+11.4+2535.4</f>
        <v>32802.6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>
        <f>2564.3+743</f>
        <v>3307.3</v>
      </c>
      <c r="O24" s="85">
        <v>31.1</v>
      </c>
      <c r="P24" s="85">
        <f>1170.2+538.4</f>
        <v>1708.6</v>
      </c>
      <c r="Q24" s="85">
        <v>857.2</v>
      </c>
      <c r="R24" s="85">
        <f>9871+8679.8</f>
        <v>18550.8</v>
      </c>
      <c r="S24" s="85">
        <f>2110.4+37.2+511.1</f>
        <v>2658.7</v>
      </c>
      <c r="T24" s="85">
        <f>166.3+26.8</f>
        <v>193.10000000000002</v>
      </c>
      <c r="U24" s="85">
        <v>-201.1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43217.7</v>
      </c>
      <c r="AG24" s="85">
        <f t="shared" si="3"/>
        <v>3934.600000000006</v>
      </c>
      <c r="AJ24" s="97"/>
    </row>
    <row r="25" spans="1:34" s="96" customFormat="1" ht="15" customHeight="1">
      <c r="A25" s="91" t="s">
        <v>39</v>
      </c>
      <c r="B25" s="93">
        <f>19856.3+2127.3+2535.4</f>
        <v>24519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>
        <v>743</v>
      </c>
      <c r="O25" s="93"/>
      <c r="P25" s="93">
        <v>538.4</v>
      </c>
      <c r="Q25" s="93"/>
      <c r="R25" s="93">
        <v>8679.8</v>
      </c>
      <c r="S25" s="93">
        <f>511.2+37.2</f>
        <v>548.4</v>
      </c>
      <c r="T25" s="93">
        <v>26.8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22582.6</v>
      </c>
      <c r="AG25" s="94">
        <f t="shared" si="3"/>
        <v>1997.2000000000044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32802.6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3307.3</v>
      </c>
      <c r="O32" s="85">
        <f t="shared" si="5"/>
        <v>31.1</v>
      </c>
      <c r="P32" s="85">
        <f t="shared" si="5"/>
        <v>1708.6</v>
      </c>
      <c r="Q32" s="85">
        <f t="shared" si="5"/>
        <v>857.2</v>
      </c>
      <c r="R32" s="85">
        <f t="shared" si="5"/>
        <v>18550.8</v>
      </c>
      <c r="S32" s="85">
        <f t="shared" si="5"/>
        <v>2658.7</v>
      </c>
      <c r="T32" s="85">
        <f t="shared" si="5"/>
        <v>193.10000000000002</v>
      </c>
      <c r="U32" s="85">
        <f t="shared" si="5"/>
        <v>-201.1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43217.7</v>
      </c>
      <c r="AG32" s="85">
        <f>AG24</f>
        <v>3934.600000000006</v>
      </c>
    </row>
    <row r="33" spans="1:33" s="87" customFormat="1" ht="15" customHeight="1">
      <c r="A33" s="84" t="s">
        <v>8</v>
      </c>
      <c r="B33" s="85">
        <f>514.589-163.6</f>
        <v>350.98900000000003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>
        <v>9.8</v>
      </c>
      <c r="O33" s="85"/>
      <c r="P33" s="85"/>
      <c r="Q33" s="85"/>
      <c r="R33" s="85"/>
      <c r="S33" s="85">
        <v>237.7</v>
      </c>
      <c r="T33" s="85">
        <v>93.5</v>
      </c>
      <c r="U33" s="85">
        <v>38.3</v>
      </c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666.0999999999999</v>
      </c>
      <c r="AG33" s="85">
        <f aca="true" t="shared" si="6" ref="AG33:AG38">B33+C33-AF33</f>
        <v>50.51900000000012</v>
      </c>
    </row>
    <row r="34" spans="1:33" s="87" customFormat="1" ht="15">
      <c r="A34" s="88" t="s">
        <v>5</v>
      </c>
      <c r="B34" s="85">
        <f>216.05228+11.4</f>
        <v>227.45228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>
        <v>91.7</v>
      </c>
      <c r="T34" s="85">
        <v>77.8</v>
      </c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249.10000000000002</v>
      </c>
      <c r="AG34" s="85">
        <f t="shared" si="6"/>
        <v>0.0032799999999895135</v>
      </c>
    </row>
    <row r="35" spans="1:33" s="87" customFormat="1" ht="15">
      <c r="A35" s="88" t="s">
        <v>1</v>
      </c>
      <c r="B35" s="85">
        <v>0</v>
      </c>
      <c r="C35" s="85">
        <f>6.7-3.4</f>
        <v>3.3000000000000003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3.3000000000000003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>
        <v>9.8</v>
      </c>
      <c r="O36" s="85"/>
      <c r="P36" s="85"/>
      <c r="Q36" s="85"/>
      <c r="R36" s="85"/>
      <c r="S36" s="85">
        <v>91.9</v>
      </c>
      <c r="T36" s="85">
        <v>11.4</v>
      </c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119.50000000000001</v>
      </c>
      <c r="AG36" s="85">
        <f t="shared" si="6"/>
        <v>-0.004529999999988377</v>
      </c>
    </row>
    <row r="37" spans="1:33" s="87" customFormat="1" ht="15">
      <c r="A37" s="88" t="s">
        <v>16</v>
      </c>
      <c r="B37" s="85">
        <v>-0.0420000000001437</v>
      </c>
      <c r="C37" s="85">
        <f>258.1-223.4</f>
        <v>34.70000000000002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34.65799999999987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49.754250000000155</v>
      </c>
      <c r="C39" s="85">
        <f t="shared" si="7"/>
        <v>260.30799999999994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54.099999999999994</v>
      </c>
      <c r="T39" s="85">
        <f t="shared" si="7"/>
        <v>4.3000000000000025</v>
      </c>
      <c r="U39" s="85">
        <f t="shared" si="7"/>
        <v>38.3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297.5</v>
      </c>
      <c r="AG39" s="85">
        <f>AG33-AG34-AG36-AG38-AG35-AG37</f>
        <v>12.562250000000247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>
        <v>56.1</v>
      </c>
      <c r="R40" s="85">
        <v>91.1</v>
      </c>
      <c r="S40" s="85">
        <v>0.6</v>
      </c>
      <c r="T40" s="85">
        <v>595.4</v>
      </c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1192.3000000000002</v>
      </c>
      <c r="AG40" s="85">
        <f aca="true" t="shared" si="8" ref="AG40:AG45">B40+C40-AF40</f>
        <v>145.60799999999927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>
        <v>86.9</v>
      </c>
      <c r="S41" s="85"/>
      <c r="T41" s="85">
        <v>501.7</v>
      </c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914.5999999999999</v>
      </c>
      <c r="AG41" s="85">
        <f t="shared" si="8"/>
        <v>0.014000000000805812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>
        <v>6.5</v>
      </c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13.1</v>
      </c>
      <c r="AG43" s="85">
        <f t="shared" si="8"/>
        <v>11.242000000000006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>
        <v>52.2</v>
      </c>
      <c r="R44" s="85">
        <v>4.2</v>
      </c>
      <c r="S44" s="85"/>
      <c r="T44" s="85">
        <v>75.3</v>
      </c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225.2</v>
      </c>
      <c r="AG44" s="85">
        <f t="shared" si="8"/>
        <v>125.17100000000005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3.8999999999999986</v>
      </c>
      <c r="R46" s="85">
        <f t="shared" si="9"/>
        <v>-1.1546319456101628E-14</v>
      </c>
      <c r="S46" s="85">
        <f t="shared" si="9"/>
        <v>0.6</v>
      </c>
      <c r="T46" s="85">
        <f t="shared" si="9"/>
        <v>11.899999999999991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39.39999999999998</v>
      </c>
      <c r="AG46" s="85">
        <f>AG40-AG41-AG42-AG43-AG44-AG45</f>
        <v>8.610999999998398</v>
      </c>
    </row>
    <row r="47" spans="1:33" s="87" customFormat="1" ht="17.25" customHeight="1">
      <c r="A47" s="84" t="s">
        <v>43</v>
      </c>
      <c r="B47" s="86">
        <f>848.9-25.3-21.5-8.1</f>
        <v>794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>
        <v>39.9</v>
      </c>
      <c r="O47" s="98"/>
      <c r="P47" s="98">
        <v>7.6</v>
      </c>
      <c r="Q47" s="98">
        <v>32.2</v>
      </c>
      <c r="R47" s="98">
        <v>127.8</v>
      </c>
      <c r="S47" s="98">
        <v>106.9</v>
      </c>
      <c r="T47" s="98">
        <v>256.9</v>
      </c>
      <c r="U47" s="98">
        <v>182</v>
      </c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1129.8</v>
      </c>
      <c r="AG47" s="85">
        <f>B47+C47-AF47</f>
        <v>1137.8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f>689.1-25.3-21.5-8.1</f>
        <v>634.2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>
        <v>7</v>
      </c>
      <c r="R49" s="85">
        <v>51.4</v>
      </c>
      <c r="S49" s="85">
        <v>37.5</v>
      </c>
      <c r="T49" s="85">
        <v>248.5</v>
      </c>
      <c r="U49" s="85">
        <v>102.6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759.9</v>
      </c>
      <c r="AG49" s="85">
        <f>B49+C49-AF49</f>
        <v>1110.9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159.79999999999995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39.9</v>
      </c>
      <c r="O51" s="85">
        <f t="shared" si="10"/>
        <v>0</v>
      </c>
      <c r="P51" s="85">
        <f t="shared" si="10"/>
        <v>7.6</v>
      </c>
      <c r="Q51" s="85">
        <f t="shared" si="10"/>
        <v>25.200000000000003</v>
      </c>
      <c r="R51" s="85">
        <f t="shared" si="10"/>
        <v>76.4</v>
      </c>
      <c r="S51" s="85">
        <f t="shared" si="10"/>
        <v>69.4</v>
      </c>
      <c r="T51" s="85">
        <f t="shared" si="10"/>
        <v>8.399999999999977</v>
      </c>
      <c r="U51" s="85">
        <f t="shared" si="10"/>
        <v>79.4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350.4</v>
      </c>
      <c r="AG51" s="85">
        <f>AG47-AG49-AG48</f>
        <v>24.699999999999868</v>
      </c>
    </row>
    <row r="52" spans="1:33" s="87" customFormat="1" ht="15" customHeight="1">
      <c r="A52" s="84" t="s">
        <v>0</v>
      </c>
      <c r="B52" s="85">
        <f>6284-333.8-460</f>
        <v>5490.2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>
        <v>32.7</v>
      </c>
      <c r="O52" s="85">
        <v>66.5</v>
      </c>
      <c r="P52" s="85">
        <v>602.2</v>
      </c>
      <c r="Q52" s="85">
        <v>663.6</v>
      </c>
      <c r="R52" s="85">
        <v>249.9</v>
      </c>
      <c r="S52" s="85">
        <v>108.8</v>
      </c>
      <c r="T52" s="85">
        <v>6152.2</v>
      </c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10842.7</v>
      </c>
      <c r="AG52" s="85">
        <f aca="true" t="shared" si="11" ref="AG52:AG59">B52+C52-AF52</f>
        <v>373</v>
      </c>
    </row>
    <row r="53" spans="1:33" s="87" customFormat="1" ht="15" customHeight="1">
      <c r="A53" s="88" t="s">
        <v>2</v>
      </c>
      <c r="B53" s="85">
        <f>1959+612.9-460</f>
        <v>2111.9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>
        <v>1</v>
      </c>
      <c r="R53" s="85"/>
      <c r="S53" s="85"/>
      <c r="T53" s="85">
        <v>1330.9</v>
      </c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2429.6000000000004</v>
      </c>
      <c r="AG53" s="85">
        <f t="shared" si="11"/>
        <v>234.5999999999999</v>
      </c>
    </row>
    <row r="54" spans="1:34" s="87" customFormat="1" ht="15">
      <c r="A54" s="84" t="s">
        <v>9</v>
      </c>
      <c r="B54" s="90">
        <f>5707.9+59-69.8</f>
        <v>5697.099999999999</v>
      </c>
      <c r="C54" s="85">
        <f>1938.5+0.4</f>
        <v>1938.9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>
        <v>161.5</v>
      </c>
      <c r="O54" s="85">
        <v>3.3</v>
      </c>
      <c r="P54" s="85">
        <v>150.2</v>
      </c>
      <c r="Q54" s="85">
        <v>118.9</v>
      </c>
      <c r="R54" s="85">
        <v>270.5</v>
      </c>
      <c r="S54" s="85">
        <v>732.5</v>
      </c>
      <c r="T54" s="85">
        <v>2585.4</v>
      </c>
      <c r="U54" s="85">
        <v>223.1</v>
      </c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7266.300000000001</v>
      </c>
      <c r="AG54" s="85">
        <f t="shared" si="11"/>
        <v>369.6999999999989</v>
      </c>
      <c r="AH54" s="97"/>
    </row>
    <row r="55" spans="1:34" s="87" customFormat="1" ht="15">
      <c r="A55" s="88" t="s">
        <v>5</v>
      </c>
      <c r="B55" s="85">
        <f>4215.39999999999+14+40.2</f>
        <v>4269.599999999989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>
        <v>3.8</v>
      </c>
      <c r="S55" s="85"/>
      <c r="T55" s="85">
        <v>2401.1</v>
      </c>
      <c r="U55" s="85">
        <v>110.3</v>
      </c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4688.500000000001</v>
      </c>
      <c r="AG55" s="85">
        <f t="shared" si="11"/>
        <v>116.89999999998781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f>491.54367-90</f>
        <v>401.54367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>
        <v>155.2</v>
      </c>
      <c r="O57" s="85">
        <v>3.3</v>
      </c>
      <c r="P57" s="85"/>
      <c r="Q57" s="85">
        <v>4.3</v>
      </c>
      <c r="R57" s="85">
        <v>109.8</v>
      </c>
      <c r="S57" s="85">
        <v>343.7</v>
      </c>
      <c r="T57" s="85">
        <v>45.8</v>
      </c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928.5999999999999</v>
      </c>
      <c r="AG57" s="85">
        <f t="shared" si="11"/>
        <v>141.14367000000016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734.9000000000008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6.300000000000011</v>
      </c>
      <c r="O60" s="85">
        <f t="shared" si="12"/>
        <v>0</v>
      </c>
      <c r="P60" s="85">
        <f t="shared" si="12"/>
        <v>150.2</v>
      </c>
      <c r="Q60" s="85">
        <f>Q54-Q55-Q57-Q59-Q56-Q58</f>
        <v>114.60000000000001</v>
      </c>
      <c r="R60" s="85">
        <f t="shared" si="12"/>
        <v>156.89999999999998</v>
      </c>
      <c r="S60" s="85">
        <f t="shared" si="12"/>
        <v>388.8</v>
      </c>
      <c r="T60" s="85">
        <f t="shared" si="12"/>
        <v>138.50000000000017</v>
      </c>
      <c r="U60" s="85">
        <f t="shared" si="12"/>
        <v>112.8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1644.1000000000004</v>
      </c>
      <c r="AG60" s="85">
        <f>AG54-AG55-AG57-AG59-AG56-AG58</f>
        <v>111.65633000001094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>
        <v>122.1</v>
      </c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129.7</v>
      </c>
      <c r="AG61" s="85">
        <f aca="true" t="shared" si="14" ref="AG61:AG67">B61+C61-AF61</f>
        <v>519.2000000000005</v>
      </c>
    </row>
    <row r="62" spans="1:33" s="87" customFormat="1" ht="15" customHeight="1">
      <c r="A62" s="84" t="s">
        <v>11</v>
      </c>
      <c r="B62" s="85">
        <f>2360.9+363.6-205.2</f>
        <v>2519.3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186.4</v>
      </c>
      <c r="L62" s="85">
        <v>514.3</v>
      </c>
      <c r="M62" s="85">
        <v>128.9</v>
      </c>
      <c r="N62" s="85"/>
      <c r="O62" s="85"/>
      <c r="P62" s="85">
        <v>453.6</v>
      </c>
      <c r="Q62" s="85">
        <v>25.1</v>
      </c>
      <c r="R62" s="85">
        <v>128.8</v>
      </c>
      <c r="S62" s="85">
        <v>913.7</v>
      </c>
      <c r="T62" s="85">
        <v>1274.6</v>
      </c>
      <c r="U62" s="85">
        <v>151.8</v>
      </c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4126.5</v>
      </c>
      <c r="AG62" s="85">
        <f t="shared" si="14"/>
        <v>453</v>
      </c>
    </row>
    <row r="63" spans="1:34" s="87" customFormat="1" ht="15">
      <c r="A63" s="88" t="s">
        <v>5</v>
      </c>
      <c r="B63" s="85">
        <f>1481.7-9.6</f>
        <v>1472.1000000000001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/>
      <c r="N63" s="85"/>
      <c r="O63" s="85"/>
      <c r="P63" s="85"/>
      <c r="Q63" s="85"/>
      <c r="R63" s="85"/>
      <c r="S63" s="85"/>
      <c r="T63" s="85">
        <v>946.6</v>
      </c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1460.7</v>
      </c>
      <c r="AG63" s="85">
        <f t="shared" si="14"/>
        <v>92.39999999999986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>
        <v>14.2</v>
      </c>
      <c r="N65" s="85"/>
      <c r="O65" s="85"/>
      <c r="P65" s="85">
        <v>29.1</v>
      </c>
      <c r="Q65" s="85"/>
      <c r="R65" s="85">
        <v>13.6</v>
      </c>
      <c r="S65" s="85">
        <v>3.3</v>
      </c>
      <c r="T65" s="85">
        <v>1.2</v>
      </c>
      <c r="U65" s="85">
        <v>6.8</v>
      </c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103.7</v>
      </c>
      <c r="AG65" s="85">
        <f t="shared" si="14"/>
        <v>68.80000000000005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>
        <v>28.3</v>
      </c>
      <c r="N66" s="85"/>
      <c r="O66" s="85"/>
      <c r="P66" s="85">
        <v>13.4</v>
      </c>
      <c r="Q66" s="85"/>
      <c r="R66" s="85">
        <v>8.2</v>
      </c>
      <c r="S66" s="85">
        <v>27.5</v>
      </c>
      <c r="T66" s="85">
        <v>77.9</v>
      </c>
      <c r="U66" s="85">
        <v>20.9</v>
      </c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266.3</v>
      </c>
      <c r="AG66" s="85">
        <f t="shared" si="14"/>
        <v>170.08200000000005</v>
      </c>
    </row>
    <row r="67" spans="1:33" s="87" customFormat="1" ht="15">
      <c r="A67" s="88" t="s">
        <v>16</v>
      </c>
      <c r="B67" s="85">
        <f>49.5379999999999+200</f>
        <v>249.5379999999999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>
        <v>700</v>
      </c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740</v>
      </c>
      <c r="AG67" s="85">
        <f t="shared" si="14"/>
        <v>38.837999999999965</v>
      </c>
    </row>
    <row r="68" spans="1:33" s="87" customFormat="1" ht="15">
      <c r="A68" s="88" t="s">
        <v>23</v>
      </c>
      <c r="B68" s="85">
        <f aca="true" t="shared" si="15" ref="B68:AD68">B62-B63-B66-B67-B65-B64</f>
        <v>527.73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170.50000000000003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411.1</v>
      </c>
      <c r="Q68" s="85">
        <f t="shared" si="15"/>
        <v>25.1</v>
      </c>
      <c r="R68" s="85">
        <f t="shared" si="15"/>
        <v>107.00000000000001</v>
      </c>
      <c r="S68" s="85">
        <f t="shared" si="15"/>
        <v>182.90000000000003</v>
      </c>
      <c r="T68" s="85">
        <f t="shared" si="15"/>
        <v>248.8999999999999</v>
      </c>
      <c r="U68" s="85">
        <f t="shared" si="15"/>
        <v>124.10000000000001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1550.7999999999997</v>
      </c>
      <c r="AG68" s="85">
        <f>AG62-AG63-AG66-AG67-AG65-AG64</f>
        <v>81.23000000000008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>
        <v>2689.6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4944.7</v>
      </c>
      <c r="AG69" s="102">
        <f aca="true" t="shared" si="16" ref="AG69:AG92">B69+C69-AF69</f>
        <v>832.3999999999915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1194.8-223.4</f>
        <v>971.4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>
        <v>6.7</v>
      </c>
      <c r="O72" s="85">
        <v>93.5</v>
      </c>
      <c r="P72" s="85">
        <v>10.7</v>
      </c>
      <c r="Q72" s="85">
        <v>252</v>
      </c>
      <c r="R72" s="85">
        <v>579.9</v>
      </c>
      <c r="S72" s="85">
        <v>316.6</v>
      </c>
      <c r="T72" s="85">
        <v>110.4</v>
      </c>
      <c r="U72" s="85">
        <f>1.4+169.5</f>
        <v>170.9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2447.5</v>
      </c>
      <c r="AG72" s="102">
        <f t="shared" si="16"/>
        <v>3127.5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>
        <v>39</v>
      </c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0.1999999999999602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>
        <v>152.8</v>
      </c>
      <c r="S74" s="85"/>
      <c r="T74" s="85">
        <v>17.7</v>
      </c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307</v>
      </c>
      <c r="AG74" s="102">
        <f t="shared" si="16"/>
        <v>1435.3000000000002</v>
      </c>
    </row>
    <row r="75" spans="1:33" s="87" customFormat="1" ht="15" customHeight="1">
      <c r="A75" s="88" t="s">
        <v>16</v>
      </c>
      <c r="B75" s="85">
        <f>224-80.2</f>
        <v>143.8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>
        <v>10.7</v>
      </c>
      <c r="Q75" s="85">
        <v>49.4</v>
      </c>
      <c r="R75" s="85"/>
      <c r="S75" s="85"/>
      <c r="T75" s="85">
        <v>44.1</v>
      </c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118.79999999999998</v>
      </c>
      <c r="AG75" s="102">
        <f t="shared" si="16"/>
        <v>172.30000000000004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>
        <v>68.5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132.3</v>
      </c>
      <c r="AG76" s="102">
        <f t="shared" si="16"/>
        <v>91.8000000000001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>
        <v>60.2</v>
      </c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96.5</v>
      </c>
      <c r="AG77" s="102">
        <f t="shared" si="16"/>
        <v>7.6000000000000085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>
        <v>7.3</v>
      </c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11.6</v>
      </c>
      <c r="AG80" s="102">
        <f t="shared" si="16"/>
        <v>5.000000000000002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f>28+52.7</f>
        <v>80.7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>
        <v>-0.5</v>
      </c>
      <c r="R83" s="98"/>
      <c r="S83" s="98"/>
      <c r="T83" s="98"/>
      <c r="U83" s="98">
        <v>52.7</v>
      </c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125.3</v>
      </c>
      <c r="AG83" s="85">
        <f t="shared" si="16"/>
        <v>0.5000000000001279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11755.5-319-8262</f>
        <v>3174.5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>
        <v>526.7</v>
      </c>
      <c r="R89" s="85"/>
      <c r="S89" s="85">
        <f>3452+3008.9</f>
        <v>6460.9</v>
      </c>
      <c r="T89" s="85">
        <v>149.3</v>
      </c>
      <c r="U89" s="85">
        <v>504.8</v>
      </c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9548.699999999997</v>
      </c>
      <c r="AG89" s="85">
        <f t="shared" si="16"/>
        <v>1105.1000000000058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>
        <v>819</v>
      </c>
      <c r="R90" s="85"/>
      <c r="S90" s="85">
        <v>819.1</v>
      </c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28994.9-346.3+52127.3</f>
        <v>80775.90000000001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>
        <v>172.5</v>
      </c>
      <c r="O92" s="85"/>
      <c r="P92" s="85"/>
      <c r="Q92" s="85">
        <v>218.8</v>
      </c>
      <c r="R92" s="85"/>
      <c r="S92" s="85">
        <v>314.5</v>
      </c>
      <c r="T92" s="85">
        <f>38101.08+46.6</f>
        <v>38147.68</v>
      </c>
      <c r="U92" s="85">
        <v>7992.7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74230.84999999999</v>
      </c>
      <c r="AG92" s="85">
        <f t="shared" si="16"/>
        <v>7971.450000000026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211253.31</v>
      </c>
      <c r="C94" s="42">
        <f t="shared" si="17"/>
        <v>87709.74909999999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12717.400000000001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6744.299999999999</v>
      </c>
      <c r="O94" s="42">
        <f t="shared" si="17"/>
        <v>3546.2</v>
      </c>
      <c r="P94" s="42">
        <f t="shared" si="17"/>
        <v>4486.9</v>
      </c>
      <c r="Q94" s="42">
        <f t="shared" si="17"/>
        <v>5670.500000000001</v>
      </c>
      <c r="R94" s="42">
        <f t="shared" si="17"/>
        <v>25036.199999999997</v>
      </c>
      <c r="S94" s="42">
        <f t="shared" si="17"/>
        <v>17917.999999999996</v>
      </c>
      <c r="T94" s="42">
        <f t="shared" si="17"/>
        <v>90648.78</v>
      </c>
      <c r="U94" s="42">
        <f t="shared" si="17"/>
        <v>14883.1</v>
      </c>
      <c r="V94" s="42">
        <f t="shared" si="17"/>
        <v>-5.5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260191.25</v>
      </c>
      <c r="AG94" s="58">
        <f>AG10+AG15+AG24+AG33+AG47+AG52+AG54+AG61+AG62+AG69+AG71+AG72+AG76+AG81+AG82+AG83+AG88+AG89+AG90+AG91+AG70+AG40+AG92</f>
        <v>38771.80910000003</v>
      </c>
    </row>
    <row r="95" spans="1:36" ht="15">
      <c r="A95" s="3" t="s">
        <v>5</v>
      </c>
      <c r="B95" s="22">
        <f aca="true" t="shared" si="18" ref="B95:AD95">B11+B17+B26+B34+B55+B63+B73+B41+B77+B48</f>
        <v>55864.05627999999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19.5</v>
      </c>
      <c r="N95" s="22">
        <f t="shared" si="18"/>
        <v>10.6</v>
      </c>
      <c r="O95" s="22">
        <f t="shared" si="18"/>
        <v>2.1</v>
      </c>
      <c r="P95" s="22">
        <f t="shared" si="18"/>
        <v>0</v>
      </c>
      <c r="Q95" s="22">
        <f t="shared" si="18"/>
        <v>278.1</v>
      </c>
      <c r="R95" s="22">
        <f t="shared" si="18"/>
        <v>144.4</v>
      </c>
      <c r="S95" s="22">
        <f t="shared" si="18"/>
        <v>1456.4</v>
      </c>
      <c r="T95" s="22">
        <f t="shared" si="18"/>
        <v>39590.5</v>
      </c>
      <c r="U95" s="22">
        <f t="shared" si="18"/>
        <v>38.699999999999974</v>
      </c>
      <c r="V95" s="22">
        <f t="shared" si="18"/>
        <v>-17.1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69342.19999999998</v>
      </c>
      <c r="AG95" s="27">
        <f>B95+C95-AF95</f>
        <v>14687.117280000006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13900.548139999997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91.1</v>
      </c>
      <c r="N96" s="22">
        <f t="shared" si="19"/>
        <v>1174.6</v>
      </c>
      <c r="O96" s="22">
        <f t="shared" si="19"/>
        <v>333.2</v>
      </c>
      <c r="P96" s="22">
        <f t="shared" si="19"/>
        <v>529.1999999999999</v>
      </c>
      <c r="Q96" s="22">
        <f t="shared" si="19"/>
        <v>766.2</v>
      </c>
      <c r="R96" s="22">
        <f t="shared" si="19"/>
        <v>3240</v>
      </c>
      <c r="S96" s="22">
        <f t="shared" si="19"/>
        <v>2347.4</v>
      </c>
      <c r="T96" s="22">
        <f t="shared" si="19"/>
        <v>3998.9000000000005</v>
      </c>
      <c r="U96" s="22">
        <f t="shared" si="19"/>
        <v>4847.5</v>
      </c>
      <c r="V96" s="22">
        <f t="shared" si="19"/>
        <v>8.8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23161</v>
      </c>
      <c r="AG96" s="27">
        <f>B96+C96-AF96</f>
        <v>2896.992140000002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2.5</v>
      </c>
      <c r="O97" s="22">
        <f t="shared" si="20"/>
        <v>0</v>
      </c>
      <c r="P97" s="22">
        <f t="shared" si="20"/>
        <v>2.2</v>
      </c>
      <c r="Q97" s="22">
        <f t="shared" si="20"/>
        <v>0</v>
      </c>
      <c r="R97" s="22">
        <f t="shared" si="20"/>
        <v>15.4</v>
      </c>
      <c r="S97" s="22">
        <f t="shared" si="20"/>
        <v>3.8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30.099999999999998</v>
      </c>
      <c r="AG97" s="27">
        <f>B97+C97-AF97</f>
        <v>6.419999999999998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2303.7940000000003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14.2</v>
      </c>
      <c r="N98" s="22">
        <f t="shared" si="21"/>
        <v>324.6</v>
      </c>
      <c r="O98" s="22">
        <f t="shared" si="21"/>
        <v>109.5</v>
      </c>
      <c r="P98" s="22">
        <f t="shared" si="21"/>
        <v>220.1</v>
      </c>
      <c r="Q98" s="22">
        <f t="shared" si="21"/>
        <v>491.8</v>
      </c>
      <c r="R98" s="22">
        <f t="shared" si="21"/>
        <v>574.1</v>
      </c>
      <c r="S98" s="22">
        <f t="shared" si="21"/>
        <v>479.8</v>
      </c>
      <c r="T98" s="22">
        <f t="shared" si="21"/>
        <v>1009.9000000000001</v>
      </c>
      <c r="U98" s="22">
        <f t="shared" si="21"/>
        <v>35.5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5258.4</v>
      </c>
      <c r="AG98" s="27">
        <f>B98+C98-AF98</f>
        <v>634.6420000000035</v>
      </c>
      <c r="AJ98" s="6"/>
    </row>
    <row r="99" spans="1:36" ht="15">
      <c r="A99" s="3" t="s">
        <v>16</v>
      </c>
      <c r="B99" s="22">
        <f aca="true" t="shared" si="22" ref="B99:X99">B21+B30+B49+B37+B58+B13+B75+B67</f>
        <v>2098.3959999999997</v>
      </c>
      <c r="C99" s="22">
        <f t="shared" si="22"/>
        <v>2188.5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10.7</v>
      </c>
      <c r="Q99" s="22">
        <f t="shared" si="22"/>
        <v>56.4</v>
      </c>
      <c r="R99" s="22">
        <f t="shared" si="22"/>
        <v>322.29999999999995</v>
      </c>
      <c r="S99" s="22">
        <f t="shared" si="22"/>
        <v>1067.1</v>
      </c>
      <c r="T99" s="22">
        <f t="shared" si="22"/>
        <v>535.6</v>
      </c>
      <c r="U99" s="22">
        <f t="shared" si="22"/>
        <v>536.3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2910.2</v>
      </c>
      <c r="AG99" s="27">
        <f>B99+C99-AF99</f>
        <v>1376.696</v>
      </c>
      <c r="AJ99" s="6"/>
    </row>
    <row r="100" spans="1:36" ht="13.5">
      <c r="A100" s="1" t="s">
        <v>35</v>
      </c>
      <c r="B100" s="2">
        <f aca="true" t="shared" si="24" ref="B100:AD100">B94-B95-B96-B97-B98-B99</f>
        <v>135796.79158000002</v>
      </c>
      <c r="C100" s="2">
        <f t="shared" si="24"/>
        <v>42862.50009999998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11888.600000000002</v>
      </c>
      <c r="L100" s="2">
        <f t="shared" si="24"/>
        <v>2501.800000000003</v>
      </c>
      <c r="M100" s="2">
        <f t="shared" si="24"/>
        <v>2383.6000000000004</v>
      </c>
      <c r="N100" s="2">
        <f t="shared" si="24"/>
        <v>5231.999999999998</v>
      </c>
      <c r="O100" s="2">
        <f t="shared" si="24"/>
        <v>3101.4</v>
      </c>
      <c r="P100" s="2">
        <f t="shared" si="24"/>
        <v>3724.7000000000003</v>
      </c>
      <c r="Q100" s="2">
        <f t="shared" si="24"/>
        <v>4078.0000000000005</v>
      </c>
      <c r="R100" s="2">
        <f t="shared" si="24"/>
        <v>20739.999999999996</v>
      </c>
      <c r="S100" s="2">
        <f t="shared" si="24"/>
        <v>12563.499999999996</v>
      </c>
      <c r="T100" s="2">
        <f t="shared" si="24"/>
        <v>45513.88</v>
      </c>
      <c r="U100" s="2">
        <f t="shared" si="24"/>
        <v>9425.1</v>
      </c>
      <c r="V100" s="2">
        <f t="shared" si="24"/>
        <v>2.8000000000000007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159489.35</v>
      </c>
      <c r="AG100" s="2">
        <f>AG94-AG95-AG96-AG97-AG98-AG99</f>
        <v>19169.941680000018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>
        <f>AF92+листопад!AF92+жовт!AF92+вер!AF92+сер!AF92+лип!AF92+черв!AF92+трав!AF92+квіт!AF92+бер!AF92+лют!AF92+січ!AF92</f>
        <v>402346.95</v>
      </c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2017-12-26T18:51:38Z</cp:lastPrinted>
  <dcterms:created xsi:type="dcterms:W3CDTF">2002-11-05T08:53:00Z</dcterms:created>
  <dcterms:modified xsi:type="dcterms:W3CDTF">2018-01-04T08:19:18Z</dcterms:modified>
  <cp:category/>
  <cp:version/>
  <cp:contentType/>
  <cp:contentStatus/>
</cp:coreProperties>
</file>